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521" windowWidth="1680" windowHeight="7020" activeTab="1"/>
  </bookViews>
  <sheets>
    <sheet name="P&amp;L" sheetId="1" r:id="rId1"/>
    <sheet name="BS" sheetId="2" r:id="rId2"/>
    <sheet name="Sheet3" sheetId="3" r:id="rId3"/>
  </sheets>
  <definedNames>
    <definedName name="A">'P&amp;L'!$A$1:$M$72</definedName>
    <definedName name="b">'P&amp;L'!#REF!</definedName>
    <definedName name="_xlnm.Print_Area" localSheetId="0">'P&amp;L'!$A$1:$M$72</definedName>
  </definedNames>
  <calcPr fullCalcOnLoad="1"/>
</workbook>
</file>

<file path=xl/sharedStrings.xml><?xml version="1.0" encoding="utf-8"?>
<sst xmlns="http://schemas.openxmlformats.org/spreadsheetml/2006/main" count="171" uniqueCount="104">
  <si>
    <t>MALAYSIAN RESOURCES CORPORATION BERHAD</t>
  </si>
  <si>
    <t>(Company No. 7994-D)</t>
  </si>
  <si>
    <t>(Incorporated in Malaysia)</t>
  </si>
  <si>
    <t>CONSOLIDATED INCOME STATEMENT</t>
  </si>
  <si>
    <t>4TH QUARTER</t>
  </si>
  <si>
    <t>CURRENT</t>
  </si>
  <si>
    <t xml:space="preserve">YEAR </t>
  </si>
  <si>
    <t>QUARTER</t>
  </si>
  <si>
    <t>31.8.1999</t>
  </si>
  <si>
    <t>CORRESPONDING</t>
  </si>
  <si>
    <t>31.8.1998</t>
  </si>
  <si>
    <t>RM'000</t>
  </si>
  <si>
    <t>TO DATE</t>
  </si>
  <si>
    <t>CUMULATIVE QUARTER</t>
  </si>
  <si>
    <t>(a)</t>
  </si>
  <si>
    <t>Turnover</t>
  </si>
  <si>
    <t>(b)</t>
  </si>
  <si>
    <t>Other income including interest income</t>
  </si>
  <si>
    <t>Depreciation and amortisation</t>
  </si>
  <si>
    <t>(d)</t>
  </si>
  <si>
    <t>Exceptional items</t>
  </si>
  <si>
    <t>(e)</t>
  </si>
  <si>
    <t>extraordinary items</t>
  </si>
  <si>
    <t>(f)</t>
  </si>
  <si>
    <t>(g)</t>
  </si>
  <si>
    <t>(h)</t>
  </si>
  <si>
    <t>Taxation</t>
  </si>
  <si>
    <t>(i)</t>
  </si>
  <si>
    <t>(ii) Less minority interests</t>
  </si>
  <si>
    <t>(j)</t>
  </si>
  <si>
    <t>attributable to members of the company</t>
  </si>
  <si>
    <t>(k)</t>
  </si>
  <si>
    <t>(l)</t>
  </si>
  <si>
    <t xml:space="preserve"> </t>
  </si>
  <si>
    <t>(c)</t>
  </si>
  <si>
    <t>(i)   Extraordinary items</t>
  </si>
  <si>
    <t>(ii)  Less minority interests</t>
  </si>
  <si>
    <t>(iii) Extraordinary items attributable to members</t>
  </si>
  <si>
    <t xml:space="preserve">       of the company</t>
  </si>
  <si>
    <t>of the company</t>
  </si>
  <si>
    <t xml:space="preserve">     minority interests</t>
  </si>
  <si>
    <t>Share in the results of associated companies</t>
  </si>
  <si>
    <t>borrowings, depreciation and amortisation and</t>
  </si>
  <si>
    <t>exceptional items but before income tax, minority</t>
  </si>
  <si>
    <t>interests and extraordinary items</t>
  </si>
  <si>
    <t>deducting any provision for preference dividends, if</t>
  </si>
  <si>
    <t>any:-</t>
  </si>
  <si>
    <t>CONSOLIDATED BALANCE SHEET</t>
  </si>
  <si>
    <t>AS AT PRECEDING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</si>
  <si>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</si>
  <si>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</si>
  <si>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</si>
  <si>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</si>
  <si>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</si>
  <si>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</si>
  <si>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>Current Liabilities</t>
  </si>
  <si>
    <t>Shareholders' Funds</t>
  </si>
  <si>
    <t>Share Capital</t>
  </si>
  <si>
    <t>Reserves</t>
  </si>
  <si>
    <t xml:space="preserve">    Share Premium</t>
  </si>
  <si>
    <t xml:space="preserve">    Statutory Reserves</t>
  </si>
  <si>
    <t>Minority Interests</t>
  </si>
  <si>
    <t>Long Term Borrowings</t>
  </si>
  <si>
    <t>Other Long Term Liabilities</t>
  </si>
  <si>
    <t>Net tangible assets per share (sen)</t>
  </si>
  <si>
    <t>Foreign exchange loss</t>
  </si>
  <si>
    <t>(m)</t>
  </si>
  <si>
    <t>N/A</t>
  </si>
  <si>
    <t>Other Investments</t>
  </si>
  <si>
    <t>Expressway Development Expenditure</t>
  </si>
  <si>
    <t>Development Properties</t>
  </si>
  <si>
    <t>Investment Properties</t>
  </si>
  <si>
    <t xml:space="preserve">    Development Properties</t>
  </si>
  <si>
    <t xml:space="preserve">    Contract Work-in-progress</t>
  </si>
  <si>
    <t xml:space="preserve">    Stock</t>
  </si>
  <si>
    <t xml:space="preserve">    Debtors</t>
  </si>
  <si>
    <t xml:space="preserve">    Bank Balances and Deposits</t>
  </si>
  <si>
    <t xml:space="preserve">    Creditors</t>
  </si>
  <si>
    <t xml:space="preserve">    Short Term Borrowings</t>
  </si>
  <si>
    <t xml:space="preserve">    Taxation</t>
  </si>
  <si>
    <t xml:space="preserve">    Retained Profits</t>
  </si>
  <si>
    <t>Deferred Taxation</t>
  </si>
  <si>
    <t xml:space="preserve">Basic (based on weighted average of 964,502,846 </t>
  </si>
  <si>
    <t>Operating loss  after  interest  on</t>
  </si>
  <si>
    <t>Loss before taxation, minority interest and</t>
  </si>
  <si>
    <t>(i) Loss after taxation before deducting</t>
  </si>
  <si>
    <t>Loss after taxation attributable to members</t>
  </si>
  <si>
    <t>Loss after taxation and extraordinary items</t>
  </si>
  <si>
    <t xml:space="preserve">     (1998: 963,122,816) ordinary shares) (sen)</t>
  </si>
  <si>
    <t>Operating (loss)/profit before interest on</t>
  </si>
  <si>
    <t xml:space="preserve">Net Current  Liabilities </t>
  </si>
  <si>
    <t>Unaudited results of the Group for the 4th quarter and financial year ended 31 August 1999.</t>
  </si>
  <si>
    <t xml:space="preserve"> YEAR </t>
  </si>
  <si>
    <t xml:space="preserve">PRECEDING </t>
  </si>
  <si>
    <t xml:space="preserve"> FINANCIAL YEAR </t>
  </si>
  <si>
    <t>FINANCIAL</t>
  </si>
  <si>
    <t>borrowings, depreciation and amortisation,</t>
  </si>
  <si>
    <t>AS AT CURRENT</t>
  </si>
  <si>
    <t xml:space="preserve"> YEAR END</t>
  </si>
  <si>
    <t>Interest on borrowings</t>
  </si>
  <si>
    <t>Loss per share based on 2(k) above after</t>
  </si>
  <si>
    <t>Fully diluted losses per share is not presented as the effect of the assumed conversion of the  Options during the financial year is antidilutive.</t>
  </si>
  <si>
    <t xml:space="preserve">foreign exchange loss, exceptional items, taxation, </t>
  </si>
  <si>
    <t>minority interests and extraordinary items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</si>
</sst>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4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3" fontId="4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workbookViewId="0" topLeftCell="E27">
      <selection activeCell="G38" sqref="G38"/>
    </sheetView>
  </sheetViews>
  <sheetFormatPr defaultColWidth="9.140625" defaultRowHeight="12.75"/>
  <cols>
    <col min="1" max="1" width="3.7109375" style="1" customWidth="1"/>
    <col min="2" max="2" width="3.421875" style="1" bestFit="1" customWidth="1"/>
    <col min="3" max="3" width="50.7109375" style="1" customWidth="1"/>
    <col min="4" max="4" width="4.421875" style="1" customWidth="1"/>
    <col min="5" max="5" width="14.8515625" style="1" bestFit="1" customWidth="1"/>
    <col min="6" max="6" width="8.57421875" style="1" customWidth="1"/>
    <col min="7" max="7" width="12.7109375" style="1" customWidth="1"/>
    <col min="8" max="8" width="6.140625" style="1" customWidth="1"/>
    <col min="9" max="9" width="5.140625" style="1" customWidth="1"/>
    <col min="10" max="10" width="13.57421875" style="1" bestFit="1" customWidth="1"/>
    <col min="11" max="11" width="9.28125" style="1" customWidth="1"/>
    <col min="12" max="12" width="15.28125" style="1" customWidth="1"/>
    <col min="13" max="13" width="6.140625" style="1" customWidth="1"/>
    <col min="14" max="16384" width="7.57421875" style="1" customWidth="1"/>
  </cols>
  <sheetData>
    <row r="1" spans="1:2" ht="20.25">
      <c r="A1" s="10" t="s">
        <v>0</v>
      </c>
      <c r="B1" s="11"/>
    </row>
    <row r="2" spans="1:7" ht="15.75">
      <c r="A2" s="4" t="s">
        <v>1</v>
      </c>
      <c r="G2" s="5" t="s">
        <v>33</v>
      </c>
    </row>
    <row r="3" ht="12.75">
      <c r="A3" s="4" t="s">
        <v>2</v>
      </c>
    </row>
    <row r="4" ht="15">
      <c r="A4" s="6"/>
    </row>
    <row r="5" ht="15">
      <c r="A5" s="6" t="s">
        <v>91</v>
      </c>
    </row>
    <row r="7" s="6" customFormat="1" ht="15.75">
      <c r="A7" s="5" t="s">
        <v>3</v>
      </c>
    </row>
    <row r="8" spans="4:13" s="6" customFormat="1" ht="15">
      <c r="D8" s="7"/>
      <c r="E8" s="21"/>
      <c r="F8" s="20" t="s">
        <v>4</v>
      </c>
      <c r="G8" s="21"/>
      <c r="H8" s="21"/>
      <c r="I8" s="21"/>
      <c r="J8" s="20"/>
      <c r="K8" s="20" t="s">
        <v>13</v>
      </c>
      <c r="L8" s="20"/>
      <c r="M8" s="20"/>
    </row>
    <row r="9" spans="4:13" s="6" customFormat="1" ht="15">
      <c r="D9" s="7"/>
      <c r="E9" s="20" t="s">
        <v>5</v>
      </c>
      <c r="F9" s="20"/>
      <c r="G9" s="20" t="s">
        <v>93</v>
      </c>
      <c r="H9" s="20"/>
      <c r="I9" s="21"/>
      <c r="J9" s="20" t="s">
        <v>5</v>
      </c>
      <c r="K9" s="20"/>
      <c r="L9" s="4"/>
      <c r="M9" s="20"/>
    </row>
    <row r="10" spans="4:13" s="6" customFormat="1" ht="15">
      <c r="D10" s="7"/>
      <c r="E10" s="20" t="s">
        <v>49</v>
      </c>
      <c r="F10" s="20"/>
      <c r="G10" s="20" t="s">
        <v>94</v>
      </c>
      <c r="H10" s="20"/>
      <c r="I10" s="21"/>
      <c r="J10" s="20" t="s">
        <v>95</v>
      </c>
      <c r="K10" s="20"/>
      <c r="L10" s="20" t="s">
        <v>93</v>
      </c>
      <c r="M10" s="20"/>
    </row>
    <row r="11" spans="4:13" s="6" customFormat="1" ht="15">
      <c r="D11" s="7"/>
      <c r="E11" s="20" t="s">
        <v>92</v>
      </c>
      <c r="F11" s="20"/>
      <c r="G11" s="20" t="s">
        <v>9</v>
      </c>
      <c r="H11" s="20"/>
      <c r="I11" s="21"/>
      <c r="J11" s="20" t="s">
        <v>6</v>
      </c>
      <c r="K11" s="20"/>
      <c r="L11" s="20" t="s">
        <v>95</v>
      </c>
      <c r="M11" s="20"/>
    </row>
    <row r="12" spans="4:13" s="6" customFormat="1" ht="15">
      <c r="D12" s="7"/>
      <c r="E12" s="20" t="s">
        <v>7</v>
      </c>
      <c r="F12" s="20"/>
      <c r="G12" s="20" t="s">
        <v>7</v>
      </c>
      <c r="H12" s="20"/>
      <c r="I12" s="21"/>
      <c r="J12" s="20" t="s">
        <v>12</v>
      </c>
      <c r="K12" s="20"/>
      <c r="L12" s="20" t="s">
        <v>92</v>
      </c>
      <c r="M12" s="20"/>
    </row>
    <row r="13" spans="4:13" s="6" customFormat="1" ht="15">
      <c r="D13" s="7"/>
      <c r="E13" s="20" t="s">
        <v>8</v>
      </c>
      <c r="F13" s="20"/>
      <c r="G13" s="20" t="s">
        <v>10</v>
      </c>
      <c r="H13" s="20"/>
      <c r="I13" s="21"/>
      <c r="J13" s="20" t="s">
        <v>8</v>
      </c>
      <c r="K13" s="20"/>
      <c r="L13" s="20" t="s">
        <v>10</v>
      </c>
      <c r="M13" s="20"/>
    </row>
    <row r="14" spans="4:13" s="6" customFormat="1" ht="15">
      <c r="D14" s="7"/>
      <c r="E14" s="22" t="s">
        <v>11</v>
      </c>
      <c r="F14" s="20"/>
      <c r="G14" s="20" t="s">
        <v>11</v>
      </c>
      <c r="H14" s="20"/>
      <c r="I14" s="21"/>
      <c r="J14" s="20" t="s">
        <v>11</v>
      </c>
      <c r="K14" s="20"/>
      <c r="L14" s="20" t="s">
        <v>11</v>
      </c>
      <c r="M14" s="20"/>
    </row>
    <row r="15" s="6" customFormat="1" ht="15">
      <c r="E15" s="8" t="s">
        <v>33</v>
      </c>
    </row>
    <row r="16" spans="1:12" s="6" customFormat="1" ht="15.75" thickBot="1">
      <c r="A16" s="6">
        <v>1</v>
      </c>
      <c r="B16"/>
      <c r="C16" s="6" t="s">
        <v>15</v>
      </c>
      <c r="E16" s="23">
        <f>J16-(146546)</f>
        <v>88748.97700000001</v>
      </c>
      <c r="G16" s="24" t="s">
        <v>67</v>
      </c>
      <c r="J16" s="25">
        <f>235294977/1000</f>
        <v>235294.977</v>
      </c>
      <c r="L16" s="25">
        <v>680415</v>
      </c>
    </row>
    <row r="17" spans="2:12" s="6" customFormat="1" ht="15.75" thickTop="1">
      <c r="B17"/>
      <c r="G17" s="7"/>
      <c r="J17" s="12"/>
      <c r="L17" s="12"/>
    </row>
    <row r="18" spans="2:12" s="6" customFormat="1" ht="15">
      <c r="B18"/>
      <c r="C18" s="6" t="s">
        <v>17</v>
      </c>
      <c r="E18" s="26">
        <f>J18-(7793)</f>
        <v>11178.688999999998</v>
      </c>
      <c r="G18" s="27" t="s">
        <v>67</v>
      </c>
      <c r="J18" s="26">
        <f>(19008916-37227)/1000</f>
        <v>18971.689</v>
      </c>
      <c r="L18" s="26">
        <v>40069</v>
      </c>
    </row>
    <row r="19" spans="7:12" s="6" customFormat="1" ht="15">
      <c r="G19" s="7" t="s">
        <v>33</v>
      </c>
      <c r="J19" s="12"/>
      <c r="L19" s="12"/>
    </row>
    <row r="20" spans="1:3" s="6" customFormat="1" ht="15">
      <c r="A20" s="6">
        <v>2</v>
      </c>
      <c r="B20" s="6" t="s">
        <v>14</v>
      </c>
      <c r="C20" s="9" t="s">
        <v>89</v>
      </c>
    </row>
    <row r="21" spans="3:10" s="6" customFormat="1" ht="15">
      <c r="C21" s="9" t="s">
        <v>96</v>
      </c>
      <c r="E21" s="12"/>
      <c r="G21" s="7" t="s">
        <v>33</v>
      </c>
      <c r="J21" s="12"/>
    </row>
    <row r="22" spans="3:12" s="6" customFormat="1" ht="15">
      <c r="C22" s="9" t="s">
        <v>102</v>
      </c>
      <c r="L22" s="12"/>
    </row>
    <row r="23" spans="3:12" s="6" customFormat="1" ht="15">
      <c r="C23" s="9" t="s">
        <v>103</v>
      </c>
      <c r="E23" s="12">
        <f>J23-((-125431453+83060403+6318131+21772148+14434656)/1000)</f>
        <v>-89890.49099999967</v>
      </c>
      <c r="G23" s="7" t="s">
        <v>67</v>
      </c>
      <c r="J23" s="12">
        <f>(-1449820444)/1000-J25-J27-J29-J31</f>
        <v>-89736.60599999968</v>
      </c>
      <c r="L23" s="12">
        <f>(97840755-265232970)/1000-L25-L27-L29-L31</f>
        <v>111298.50199999998</v>
      </c>
    </row>
    <row r="24" spans="3:12" s="6" customFormat="1" ht="15">
      <c r="C24"/>
      <c r="E24" s="12"/>
      <c r="G24" s="7" t="s">
        <v>33</v>
      </c>
      <c r="J24" s="12"/>
      <c r="L24" s="12"/>
    </row>
    <row r="25" spans="2:12" s="6" customFormat="1" ht="15">
      <c r="B25" s="6" t="s">
        <v>16</v>
      </c>
      <c r="C25" s="6" t="s">
        <v>99</v>
      </c>
      <c r="E25" s="12">
        <f>J25-(-83060403/1000)</f>
        <v>-34747.115999999995</v>
      </c>
      <c r="G25" s="7" t="s">
        <v>67</v>
      </c>
      <c r="J25" s="12">
        <f>-(98737778+14454353+3944088+671300)/1000</f>
        <v>-117807.519</v>
      </c>
      <c r="L25" s="12">
        <f>-150708968/1000</f>
        <v>-150708.968</v>
      </c>
    </row>
    <row r="26" spans="5:12" s="6" customFormat="1" ht="15">
      <c r="E26" s="12"/>
      <c r="G26" s="7" t="s">
        <v>33</v>
      </c>
      <c r="J26" s="12"/>
      <c r="L26" s="12"/>
    </row>
    <row r="27" spans="2:12" s="6" customFormat="1" ht="15">
      <c r="B27" s="6" t="s">
        <v>34</v>
      </c>
      <c r="C27" s="6" t="s">
        <v>18</v>
      </c>
      <c r="E27" s="12">
        <f>J27-(-(5275233+1042898)/1000)</f>
        <v>-4789.297</v>
      </c>
      <c r="G27" s="7" t="s">
        <v>67</v>
      </c>
      <c r="J27" s="12">
        <f>-(9753266+1354162)/1000</f>
        <v>-11107.428</v>
      </c>
      <c r="L27" s="12">
        <f>-(9725694+1318000)/1000</f>
        <v>-11043.694</v>
      </c>
    </row>
    <row r="28" spans="5:12" s="6" customFormat="1" ht="15">
      <c r="E28" s="12"/>
      <c r="G28" s="7" t="s">
        <v>33</v>
      </c>
      <c r="J28" s="12"/>
      <c r="L28" s="12"/>
    </row>
    <row r="29" spans="2:12" s="6" customFormat="1" ht="15">
      <c r="B29" s="6" t="s">
        <v>19</v>
      </c>
      <c r="C29" s="6" t="s">
        <v>65</v>
      </c>
      <c r="E29" s="12">
        <f>J29-(-21772148/1000)</f>
        <v>-48525.490999999995</v>
      </c>
      <c r="G29" s="7" t="s">
        <v>67</v>
      </c>
      <c r="J29" s="12">
        <f>-(69798628+499011)/1000</f>
        <v>-70297.639</v>
      </c>
      <c r="L29" s="12">
        <f>-(273910+406)</f>
        <v>-274316</v>
      </c>
    </row>
    <row r="30" spans="5:12" s="6" customFormat="1" ht="15">
      <c r="E30" s="12"/>
      <c r="G30" s="7" t="s">
        <v>33</v>
      </c>
      <c r="J30" s="12"/>
      <c r="L30" s="12"/>
    </row>
    <row r="31" spans="2:12" s="6" customFormat="1" ht="15">
      <c r="B31" s="6" t="s">
        <v>21</v>
      </c>
      <c r="C31" s="6" t="s">
        <v>20</v>
      </c>
      <c r="E31" s="26">
        <f>J31-(-14434656/1000)</f>
        <v>-1146436.5960000001</v>
      </c>
      <c r="G31" s="27" t="s">
        <v>67</v>
      </c>
      <c r="J31" s="26">
        <f>(-1160871252)/1000</f>
        <v>-1160871.252</v>
      </c>
      <c r="L31" s="26">
        <f>(422610915-265232970)/1000</f>
        <v>157377.945</v>
      </c>
    </row>
    <row r="32" spans="5:12" s="6" customFormat="1" ht="15">
      <c r="E32" s="12"/>
      <c r="G32" s="7" t="s">
        <v>33</v>
      </c>
      <c r="J32" s="12"/>
      <c r="L32" s="12"/>
    </row>
    <row r="33" spans="2:3" s="6" customFormat="1" ht="15">
      <c r="B33" s="6" t="s">
        <v>23</v>
      </c>
      <c r="C33" s="6" t="s">
        <v>83</v>
      </c>
    </row>
    <row r="34" spans="3:12" s="6" customFormat="1" ht="15">
      <c r="C34" s="6" t="s">
        <v>42</v>
      </c>
      <c r="E34" s="12"/>
      <c r="G34" s="7" t="s">
        <v>33</v>
      </c>
      <c r="J34" s="12"/>
      <c r="L34" s="12"/>
    </row>
    <row r="35" spans="3:12" s="6" customFormat="1" ht="15">
      <c r="C35" s="6" t="s">
        <v>43</v>
      </c>
      <c r="E35" s="12"/>
      <c r="G35" s="7" t="s">
        <v>33</v>
      </c>
      <c r="J35" s="12"/>
      <c r="L35" s="12"/>
    </row>
    <row r="36" spans="3:12" s="6" customFormat="1" ht="15">
      <c r="C36" s="6" t="s">
        <v>44</v>
      </c>
      <c r="E36" s="12">
        <f>SUM(E21:E32)</f>
        <v>-1324388.991</v>
      </c>
      <c r="G36" s="7" t="s">
        <v>67</v>
      </c>
      <c r="J36" s="12">
        <f>SUM(J21:J32)-1</f>
        <v>-1449821.4439999997</v>
      </c>
      <c r="L36" s="12">
        <f>SUM(L22:L32)</f>
        <v>-167392.21500000003</v>
      </c>
    </row>
    <row r="37" spans="3:12" s="6" customFormat="1" ht="15">
      <c r="C37"/>
      <c r="E37" s="12"/>
      <c r="G37" s="7" t="s">
        <v>33</v>
      </c>
      <c r="J37" s="12"/>
      <c r="L37" s="12"/>
    </row>
    <row r="38" spans="2:12" s="6" customFormat="1" ht="15">
      <c r="B38" s="6" t="s">
        <v>24</v>
      </c>
      <c r="C38" s="6" t="s">
        <v>41</v>
      </c>
      <c r="E38" s="26">
        <f>J38-(-15498633/1000)</f>
        <v>62003.68</v>
      </c>
      <c r="G38" s="27" t="s">
        <v>67</v>
      </c>
      <c r="J38" s="26">
        <f>(46505047)/1000</f>
        <v>46505.047</v>
      </c>
      <c r="L38" s="26">
        <f>-301303+265233</f>
        <v>-36070</v>
      </c>
    </row>
    <row r="39" spans="5:12" s="6" customFormat="1" ht="15">
      <c r="E39" s="12"/>
      <c r="G39" s="7" t="s">
        <v>33</v>
      </c>
      <c r="J39" s="12"/>
      <c r="L39" s="12"/>
    </row>
    <row r="40" spans="2:3" s="6" customFormat="1" ht="15">
      <c r="B40" s="6" t="s">
        <v>25</v>
      </c>
      <c r="C40" s="6" t="s">
        <v>84</v>
      </c>
    </row>
    <row r="41" spans="3:12" s="6" customFormat="1" ht="15">
      <c r="C41" s="6" t="s">
        <v>22</v>
      </c>
      <c r="E41" s="12">
        <f>SUM(E34:E39)</f>
        <v>-1262385.311</v>
      </c>
      <c r="G41" s="7" t="s">
        <v>67</v>
      </c>
      <c r="J41" s="12">
        <f>SUM(J34:J39)</f>
        <v>-1403316.3969999996</v>
      </c>
      <c r="L41" s="12">
        <f>SUM(L34:L39)</f>
        <v>-203462.21500000003</v>
      </c>
    </row>
    <row r="42" spans="5:12" s="6" customFormat="1" ht="15">
      <c r="E42" s="12"/>
      <c r="G42" s="7" t="s">
        <v>33</v>
      </c>
      <c r="J42" s="12"/>
      <c r="L42" s="12"/>
    </row>
    <row r="43" spans="2:12" s="6" customFormat="1" ht="15">
      <c r="B43" s="6" t="s">
        <v>27</v>
      </c>
      <c r="C43" s="6" t="s">
        <v>26</v>
      </c>
      <c r="E43" s="26">
        <f>J43-(-(19480600+466255)/1000)</f>
        <v>-21769.967</v>
      </c>
      <c r="G43" s="27" t="s">
        <v>67</v>
      </c>
      <c r="J43" s="26">
        <f>-41716822/1000</f>
        <v>-41716.822</v>
      </c>
      <c r="L43" s="26">
        <f>-(17594472+6743420+24819172)/1000</f>
        <v>-49157.064</v>
      </c>
    </row>
    <row r="44" spans="5:12" s="6" customFormat="1" ht="15">
      <c r="E44" s="12"/>
      <c r="G44" s="7" t="s">
        <v>33</v>
      </c>
      <c r="J44" s="12"/>
      <c r="L44" s="12"/>
    </row>
    <row r="45" spans="2:3" s="6" customFormat="1" ht="15">
      <c r="B45" s="6" t="s">
        <v>29</v>
      </c>
      <c r="C45" s="6" t="s">
        <v>85</v>
      </c>
    </row>
    <row r="46" spans="3:12" s="6" customFormat="1" ht="15">
      <c r="C46" s="6" t="s">
        <v>40</v>
      </c>
      <c r="E46" s="12">
        <f>SUM(E41:E44)</f>
        <v>-1284155.278</v>
      </c>
      <c r="G46" s="7" t="s">
        <v>67</v>
      </c>
      <c r="J46" s="12">
        <f>SUM(J41:J44)</f>
        <v>-1445033.2189999996</v>
      </c>
      <c r="L46" s="12">
        <f>SUM(L41:L44)</f>
        <v>-252619.27900000004</v>
      </c>
    </row>
    <row r="47" spans="3:12" s="6" customFormat="1" ht="15">
      <c r="C47"/>
      <c r="E47" s="12"/>
      <c r="G47" s="7" t="s">
        <v>33</v>
      </c>
      <c r="J47" s="12"/>
      <c r="L47" s="12"/>
    </row>
    <row r="48" spans="3:12" s="6" customFormat="1" ht="15">
      <c r="C48" s="6" t="s">
        <v>28</v>
      </c>
      <c r="E48" s="26">
        <f>J48-(5077555/1000)</f>
        <v>8300.422</v>
      </c>
      <c r="G48" s="27" t="s">
        <v>67</v>
      </c>
      <c r="J48" s="26">
        <f>13377977/1000</f>
        <v>13377.977</v>
      </c>
      <c r="L48" s="26">
        <f>-52695137/1000</f>
        <v>-52695.137</v>
      </c>
    </row>
    <row r="49" spans="5:12" s="6" customFormat="1" ht="15">
      <c r="E49" s="12"/>
      <c r="G49" s="7" t="s">
        <v>33</v>
      </c>
      <c r="J49" s="12"/>
      <c r="L49" s="12"/>
    </row>
    <row r="50" spans="2:3" s="6" customFormat="1" ht="15">
      <c r="B50" s="6" t="s">
        <v>31</v>
      </c>
      <c r="C50" s="6" t="s">
        <v>86</v>
      </c>
    </row>
    <row r="51" spans="3:12" s="6" customFormat="1" ht="15">
      <c r="C51" s="6" t="s">
        <v>39</v>
      </c>
      <c r="E51" s="12">
        <f>SUM(E46:E49)</f>
        <v>-1275854.856</v>
      </c>
      <c r="G51" s="7" t="s">
        <v>67</v>
      </c>
      <c r="J51" s="12">
        <f>SUM(J46:J49)</f>
        <v>-1431655.2419999996</v>
      </c>
      <c r="L51" s="12">
        <f>SUM(L46:L49)</f>
        <v>-305314.416</v>
      </c>
    </row>
    <row r="52" spans="5:12" s="6" customFormat="1" ht="15">
      <c r="E52" s="12"/>
      <c r="G52" s="7" t="s">
        <v>33</v>
      </c>
      <c r="J52" s="12"/>
      <c r="L52" s="12"/>
    </row>
    <row r="53" spans="2:12" s="6" customFormat="1" ht="15">
      <c r="B53" s="6" t="s">
        <v>32</v>
      </c>
      <c r="C53" s="6" t="s">
        <v>35</v>
      </c>
      <c r="E53" s="12">
        <v>0</v>
      </c>
      <c r="G53" s="7" t="s">
        <v>67</v>
      </c>
      <c r="J53" s="12">
        <v>0</v>
      </c>
      <c r="L53" s="12">
        <v>0</v>
      </c>
    </row>
    <row r="54" spans="3:12" s="6" customFormat="1" ht="15">
      <c r="C54" s="6" t="s">
        <v>36</v>
      </c>
      <c r="E54" s="12">
        <v>0</v>
      </c>
      <c r="G54" s="7" t="s">
        <v>67</v>
      </c>
      <c r="J54" s="12">
        <v>0</v>
      </c>
      <c r="L54" s="12">
        <v>0</v>
      </c>
    </row>
    <row r="55" spans="3:12" s="6" customFormat="1" ht="15">
      <c r="C55" s="6" t="s">
        <v>37</v>
      </c>
      <c r="E55" s="12">
        <v>0</v>
      </c>
      <c r="G55" s="7" t="s">
        <v>67</v>
      </c>
      <c r="J55" s="12">
        <v>0</v>
      </c>
      <c r="L55" s="12">
        <v>0</v>
      </c>
    </row>
    <row r="56" spans="3:12" s="6" customFormat="1" ht="15">
      <c r="C56" s="6" t="s">
        <v>38</v>
      </c>
      <c r="E56" s="26"/>
      <c r="G56" s="27" t="s">
        <v>33</v>
      </c>
      <c r="J56" s="26"/>
      <c r="L56" s="26"/>
    </row>
    <row r="57" spans="5:12" s="6" customFormat="1" ht="15">
      <c r="E57" s="12"/>
      <c r="G57" s="7" t="s">
        <v>33</v>
      </c>
      <c r="J57" s="12"/>
      <c r="L57" s="12"/>
    </row>
    <row r="58" spans="2:3" s="6" customFormat="1" ht="15">
      <c r="B58" s="6" t="s">
        <v>66</v>
      </c>
      <c r="C58" s="6" t="s">
        <v>87</v>
      </c>
    </row>
    <row r="59" spans="3:12" s="6" customFormat="1" ht="15.75" thickBot="1">
      <c r="C59" s="6" t="s">
        <v>30</v>
      </c>
      <c r="E59" s="25">
        <f>SUM(E51:E57)</f>
        <v>-1275854.856</v>
      </c>
      <c r="G59" s="24" t="s">
        <v>67</v>
      </c>
      <c r="J59" s="25">
        <f>SUM(J51:J57)</f>
        <v>-1431655.2419999996</v>
      </c>
      <c r="L59" s="25">
        <f>SUM(L51:L57)</f>
        <v>-305314.416</v>
      </c>
    </row>
    <row r="60" spans="5:12" s="6" customFormat="1" ht="15.75" thickTop="1">
      <c r="E60" s="12"/>
      <c r="G60" s="7" t="s">
        <v>33</v>
      </c>
      <c r="J60" s="12"/>
      <c r="L60" s="12"/>
    </row>
    <row r="61" spans="1:12" s="6" customFormat="1" ht="15">
      <c r="A61" s="6">
        <v>3</v>
      </c>
      <c r="B61" s="6" t="s">
        <v>33</v>
      </c>
      <c r="C61" s="6" t="s">
        <v>100</v>
      </c>
      <c r="E61" s="12"/>
      <c r="G61"/>
      <c r="J61" s="12"/>
      <c r="L61" s="12"/>
    </row>
    <row r="62" spans="3:12" s="6" customFormat="1" ht="15">
      <c r="C62" s="6" t="s">
        <v>45</v>
      </c>
      <c r="E62" s="12"/>
      <c r="G62" s="7" t="s">
        <v>33</v>
      </c>
      <c r="J62" s="12"/>
      <c r="L62" s="12"/>
    </row>
    <row r="63" spans="3:12" s="6" customFormat="1" ht="15">
      <c r="C63" s="6" t="s">
        <v>46</v>
      </c>
      <c r="E63" s="12"/>
      <c r="G63" s="7" t="s">
        <v>33</v>
      </c>
      <c r="J63" s="12"/>
      <c r="L63" s="12"/>
    </row>
    <row r="64" spans="5:12" s="6" customFormat="1" ht="15">
      <c r="E64" s="12"/>
      <c r="G64" s="7" t="s">
        <v>33</v>
      </c>
      <c r="J64" s="12"/>
      <c r="L64" s="12"/>
    </row>
    <row r="65" s="6" customFormat="1" ht="15">
      <c r="C65" s="6" t="s">
        <v>82</v>
      </c>
    </row>
    <row r="66" spans="3:12" s="6" customFormat="1" ht="15.75" thickBot="1">
      <c r="C66" s="6" t="s">
        <v>88</v>
      </c>
      <c r="E66" s="28">
        <f>E59/964374*100</f>
        <v>-132.29876126896824</v>
      </c>
      <c r="G66" s="24" t="s">
        <v>67</v>
      </c>
      <c r="J66" s="28">
        <f>J59/964374*100</f>
        <v>-148.4543592008909</v>
      </c>
      <c r="L66" s="28">
        <v>-31.7</v>
      </c>
    </row>
    <row r="67" spans="5:12" s="6" customFormat="1" ht="15.75" thickTop="1">
      <c r="E67" s="12"/>
      <c r="G67" s="7" t="s">
        <v>33</v>
      </c>
      <c r="J67" s="12"/>
      <c r="L67" s="12"/>
    </row>
    <row r="68" spans="3:12" s="6" customFormat="1" ht="15">
      <c r="C68" s="6" t="s">
        <v>101</v>
      </c>
      <c r="E68" s="12"/>
      <c r="G68" s="7"/>
      <c r="J68" s="12"/>
      <c r="L68" s="12"/>
    </row>
    <row r="69" spans="7:12" s="6" customFormat="1" ht="15">
      <c r="G69" s="7" t="s">
        <v>33</v>
      </c>
      <c r="J69" s="14" t="s">
        <v>33</v>
      </c>
      <c r="L69" s="14" t="s">
        <v>33</v>
      </c>
    </row>
    <row r="70" spans="7:12" s="6" customFormat="1" ht="15">
      <c r="G70" s="7" t="s">
        <v>33</v>
      </c>
      <c r="J70" s="12"/>
      <c r="L70" s="12"/>
    </row>
    <row r="71" spans="3:12" s="6" customFormat="1" ht="15">
      <c r="C71" s="6" t="s">
        <v>33</v>
      </c>
      <c r="G71" s="7"/>
      <c r="J71" s="12"/>
      <c r="L71" s="12"/>
    </row>
    <row r="72" spans="1:13" ht="15">
      <c r="A72" s="6"/>
      <c r="J72" s="13"/>
      <c r="L72" s="13"/>
      <c r="M72" s="6"/>
    </row>
    <row r="73" spans="1:7" ht="15">
      <c r="A73" s="6"/>
      <c r="E73" s="13"/>
      <c r="F73" s="13"/>
      <c r="G73" s="13"/>
    </row>
    <row r="74" spans="1:7" ht="15">
      <c r="A74" s="6"/>
      <c r="E74" s="13"/>
      <c r="F74" s="13"/>
      <c r="G74" s="13"/>
    </row>
    <row r="75" spans="1:7" ht="15">
      <c r="A75" s="6"/>
      <c r="E75" s="13"/>
      <c r="F75" s="13"/>
      <c r="G75" s="13"/>
    </row>
    <row r="76" spans="1:7" ht="15">
      <c r="A76" s="6"/>
      <c r="E76" s="13"/>
      <c r="F76" s="13"/>
      <c r="G76" s="13"/>
    </row>
    <row r="77" spans="1:7" ht="15">
      <c r="A77" s="6"/>
      <c r="E77" s="13"/>
      <c r="F77" s="13"/>
      <c r="G77" s="13"/>
    </row>
    <row r="78" spans="1:7" ht="15">
      <c r="A78" s="6"/>
      <c r="E78" s="13"/>
      <c r="F78" s="13"/>
      <c r="G78" s="13"/>
    </row>
    <row r="79" spans="1:7" ht="15">
      <c r="A79" s="6"/>
      <c r="E79" s="13"/>
      <c r="F79" s="13"/>
      <c r="G79" s="13"/>
    </row>
    <row r="80" spans="1:7" ht="15">
      <c r="A80" s="6"/>
      <c r="E80" s="13"/>
      <c r="F80" s="13"/>
      <c r="G80" s="13"/>
    </row>
    <row r="81" spans="1:7" ht="15">
      <c r="A81" s="6"/>
      <c r="E81" s="13"/>
      <c r="F81" s="13"/>
      <c r="G81" s="13"/>
    </row>
    <row r="82" spans="1:7" ht="15">
      <c r="A82" s="6"/>
      <c r="E82" s="13"/>
      <c r="F82" s="13"/>
      <c r="G82" s="13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  <row r="141" ht="15">
      <c r="A141" s="6"/>
    </row>
  </sheetData>
  <printOptions/>
  <pageMargins left="0.5" right="0.5" top="0.5" bottom="0.5" header="0.5" footer="0.56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 topLeftCell="A1">
      <selection activeCell="F50" sqref="F50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50.7109375" style="1" customWidth="1"/>
    <col min="4" max="4" width="4.421875" style="1" customWidth="1"/>
    <col min="5" max="5" width="14.8515625" style="1" customWidth="1"/>
    <col min="6" max="6" width="8.57421875" style="1" customWidth="1"/>
    <col min="7" max="7" width="12.7109375" style="1" customWidth="1"/>
    <col min="8" max="8" width="6.140625" style="1" customWidth="1"/>
    <col min="9" max="9" width="5.140625" style="1" customWidth="1"/>
    <col min="10" max="10" width="13.57421875" style="1" customWidth="1"/>
    <col min="11" max="11" width="9.28125" style="1" customWidth="1"/>
    <col min="12" max="12" width="15.28125" style="1" customWidth="1"/>
    <col min="13" max="13" width="6.140625" style="1" customWidth="1"/>
    <col min="14" max="16384" width="7.57421875" style="1" customWidth="1"/>
  </cols>
  <sheetData>
    <row r="1" spans="1:12" ht="15.75">
      <c r="A1" s="5" t="s">
        <v>47</v>
      </c>
      <c r="J1" s="13"/>
      <c r="L1" s="13"/>
    </row>
    <row r="2" spans="1:12" ht="15">
      <c r="A2" s="6"/>
      <c r="E2" s="3" t="s">
        <v>97</v>
      </c>
      <c r="F2" s="2"/>
      <c r="G2" s="3" t="s">
        <v>48</v>
      </c>
      <c r="H2" s="2"/>
      <c r="J2" s="13"/>
      <c r="L2" s="13"/>
    </row>
    <row r="3" spans="1:12" ht="15">
      <c r="A3" s="6"/>
      <c r="E3" s="3" t="s">
        <v>49</v>
      </c>
      <c r="F3" s="2"/>
      <c r="G3" s="3" t="s">
        <v>49</v>
      </c>
      <c r="H3" s="2"/>
      <c r="J3" s="13"/>
      <c r="L3" s="13"/>
    </row>
    <row r="4" spans="1:12" ht="15">
      <c r="A4" s="6"/>
      <c r="E4" s="3" t="s">
        <v>98</v>
      </c>
      <c r="F4" s="2"/>
      <c r="G4" s="3" t="s">
        <v>50</v>
      </c>
      <c r="H4" s="2"/>
      <c r="J4" s="13"/>
      <c r="L4" s="13"/>
    </row>
    <row r="5" spans="1:12" ht="15">
      <c r="A5" s="6"/>
      <c r="E5" s="3" t="s">
        <v>8</v>
      </c>
      <c r="F5" s="2"/>
      <c r="G5" s="3" t="s">
        <v>10</v>
      </c>
      <c r="H5" s="2"/>
      <c r="I5" s="1" t="s">
        <v>33</v>
      </c>
      <c r="J5" s="13"/>
      <c r="L5" s="13"/>
    </row>
    <row r="6" spans="1:12" ht="15">
      <c r="A6" s="6"/>
      <c r="E6" s="3" t="s">
        <v>11</v>
      </c>
      <c r="F6" s="3"/>
      <c r="G6" s="3" t="s">
        <v>11</v>
      </c>
      <c r="H6" s="2"/>
      <c r="J6" s="13"/>
      <c r="L6" s="13"/>
    </row>
    <row r="7" spans="1:12" ht="15">
      <c r="A7" s="6"/>
      <c r="J7" s="13"/>
      <c r="L7" s="13"/>
    </row>
    <row r="8" spans="1:12" ht="15">
      <c r="A8" s="6"/>
      <c r="C8" s="1" t="s">
        <v>51</v>
      </c>
      <c r="E8" s="13">
        <v>102398</v>
      </c>
      <c r="F8" s="13"/>
      <c r="G8" s="13">
        <v>102465</v>
      </c>
      <c r="J8" s="13"/>
      <c r="L8" s="13"/>
    </row>
    <row r="9" spans="1:12" ht="15">
      <c r="A9" s="6"/>
      <c r="C9" s="1" t="s">
        <v>71</v>
      </c>
      <c r="E9" s="13">
        <v>53714</v>
      </c>
      <c r="F9" s="13"/>
      <c r="G9" s="13">
        <v>55068</v>
      </c>
      <c r="J9" s="13"/>
      <c r="L9" s="13"/>
    </row>
    <row r="10" spans="1:12" ht="15">
      <c r="A10" s="6"/>
      <c r="C10" s="1" t="s">
        <v>70</v>
      </c>
      <c r="E10" s="13">
        <v>500923</v>
      </c>
      <c r="F10" s="13"/>
      <c r="G10" s="13">
        <v>468164</v>
      </c>
      <c r="J10" s="13"/>
      <c r="L10" s="13"/>
    </row>
    <row r="11" spans="1:12" ht="15">
      <c r="A11" s="6"/>
      <c r="C11" s="1" t="s">
        <v>69</v>
      </c>
      <c r="E11" s="13">
        <v>11128</v>
      </c>
      <c r="F11" s="13"/>
      <c r="G11" s="13">
        <v>8148</v>
      </c>
      <c r="J11" s="13"/>
      <c r="L11" s="13"/>
    </row>
    <row r="12" spans="1:12" ht="15">
      <c r="A12" s="6"/>
      <c r="C12" s="1" t="s">
        <v>52</v>
      </c>
      <c r="E12" s="13">
        <v>1895136</v>
      </c>
      <c r="F12" s="13"/>
      <c r="G12" s="13">
        <v>3078749</v>
      </c>
      <c r="J12" s="13"/>
      <c r="L12" s="13"/>
    </row>
    <row r="13" spans="1:12" ht="15">
      <c r="A13" s="6"/>
      <c r="C13" s="1" t="s">
        <v>68</v>
      </c>
      <c r="E13" s="13">
        <v>2677</v>
      </c>
      <c r="F13" s="13"/>
      <c r="G13" s="13">
        <v>11893</v>
      </c>
      <c r="J13" s="13"/>
      <c r="L13" s="13"/>
    </row>
    <row r="14" spans="1:12" ht="15">
      <c r="A14" s="6"/>
      <c r="C14" s="1" t="s">
        <v>53</v>
      </c>
      <c r="E14" s="13">
        <v>34976</v>
      </c>
      <c r="F14" s="13"/>
      <c r="G14" s="13">
        <f>5362+27764+129846</f>
        <v>162972</v>
      </c>
      <c r="J14" s="13"/>
      <c r="L14" s="13"/>
    </row>
    <row r="15" spans="1:12" ht="15" hidden="1">
      <c r="A15" s="6"/>
      <c r="E15" s="13">
        <f>SUM(E8:E14)</f>
        <v>2600952</v>
      </c>
      <c r="F15" s="13"/>
      <c r="G15" s="13">
        <f>SUM(G8:G14)</f>
        <v>3887459</v>
      </c>
      <c r="J15" s="13"/>
      <c r="L15" s="13"/>
    </row>
    <row r="16" spans="1:12" ht="15">
      <c r="A16" s="6"/>
      <c r="E16" s="13"/>
      <c r="F16" s="13"/>
      <c r="G16" s="13"/>
      <c r="J16" s="13"/>
      <c r="L16" s="13"/>
    </row>
    <row r="17" spans="1:12" ht="15">
      <c r="A17" s="6"/>
      <c r="C17" s="1" t="s">
        <v>54</v>
      </c>
      <c r="E17" s="13"/>
      <c r="F17" s="13"/>
      <c r="G17" s="13"/>
      <c r="J17" s="13"/>
      <c r="L17" s="13"/>
    </row>
    <row r="18" spans="1:12" ht="15">
      <c r="A18" s="6"/>
      <c r="C18" s="1" t="s">
        <v>72</v>
      </c>
      <c r="E18" s="13">
        <f>237788343/1000</f>
        <v>237788.343</v>
      </c>
      <c r="F18" s="13"/>
      <c r="G18" s="13">
        <f>204605428/1000-2</f>
        <v>204603.428</v>
      </c>
      <c r="J18" s="13"/>
      <c r="L18" s="13"/>
    </row>
    <row r="19" spans="1:12" ht="15">
      <c r="A19" s="6"/>
      <c r="C19" s="1" t="s">
        <v>73</v>
      </c>
      <c r="E19" s="13">
        <f>94968340/1000</f>
        <v>94968.34</v>
      </c>
      <c r="F19" s="13"/>
      <c r="G19" s="13">
        <f>66243528/1000</f>
        <v>66243.528</v>
      </c>
      <c r="J19" s="13"/>
      <c r="L19" s="13"/>
    </row>
    <row r="20" spans="1:12" ht="15">
      <c r="A20" s="6"/>
      <c r="C20" s="1" t="s">
        <v>74</v>
      </c>
      <c r="E20" s="13">
        <f>143089686/1000</f>
        <v>143089.686</v>
      </c>
      <c r="F20" s="13"/>
      <c r="G20" s="13">
        <f>142599286/1000</f>
        <v>142599.286</v>
      </c>
      <c r="J20" s="13"/>
      <c r="L20" s="13"/>
    </row>
    <row r="21" spans="1:12" ht="15">
      <c r="A21" s="6"/>
      <c r="C21" s="1" t="s">
        <v>75</v>
      </c>
      <c r="E21" s="13">
        <f>412085246/1000</f>
        <v>412085.246</v>
      </c>
      <c r="F21" s="13"/>
      <c r="G21" s="13">
        <f>719825647/1000-1</f>
        <v>719824.647</v>
      </c>
      <c r="J21" s="13"/>
      <c r="L21" s="13"/>
    </row>
    <row r="22" spans="1:12" ht="15">
      <c r="A22" s="6"/>
      <c r="C22" s="1" t="s">
        <v>76</v>
      </c>
      <c r="E22" s="13">
        <f>37861717/1000</f>
        <v>37861.717</v>
      </c>
      <c r="F22" s="13"/>
      <c r="G22" s="13">
        <f>407393495/1000</f>
        <v>407393.495</v>
      </c>
      <c r="J22" s="13"/>
      <c r="L22" s="13"/>
    </row>
    <row r="23" spans="1:12" ht="15">
      <c r="A23" s="6"/>
      <c r="E23" s="18">
        <f>SUM(E18:E22)</f>
        <v>925793.3319999999</v>
      </c>
      <c r="F23" s="13"/>
      <c r="G23" s="18">
        <f>SUM(G18:G22)</f>
        <v>1540664.384</v>
      </c>
      <c r="J23" s="13"/>
      <c r="L23" s="13"/>
    </row>
    <row r="24" spans="1:12" ht="15">
      <c r="A24" s="6"/>
      <c r="E24" s="13"/>
      <c r="F24" s="13"/>
      <c r="G24" s="13"/>
      <c r="J24" s="13"/>
      <c r="L24" s="13"/>
    </row>
    <row r="25" spans="1:12" ht="15">
      <c r="A25" s="6"/>
      <c r="C25" s="1" t="s">
        <v>55</v>
      </c>
      <c r="E25" s="13"/>
      <c r="F25" s="13"/>
      <c r="G25" s="13"/>
      <c r="J25" s="13"/>
      <c r="L25" s="13"/>
    </row>
    <row r="26" spans="1:12" ht="15">
      <c r="A26" s="6"/>
      <c r="C26" s="1" t="s">
        <v>77</v>
      </c>
      <c r="E26" s="13">
        <f>505881516/1000</f>
        <v>505881.516</v>
      </c>
      <c r="F26" s="13"/>
      <c r="G26" s="13">
        <f>403333085/1000</f>
        <v>403333.085</v>
      </c>
      <c r="J26" s="13"/>
      <c r="L26" s="13"/>
    </row>
    <row r="27" spans="1:12" ht="15">
      <c r="A27" s="6"/>
      <c r="C27" s="1" t="s">
        <v>78</v>
      </c>
      <c r="E27" s="13">
        <f>924907414/1000</f>
        <v>924907.414</v>
      </c>
      <c r="F27" s="13"/>
      <c r="G27" s="13">
        <f>1188155107/1000</f>
        <v>1188155.107</v>
      </c>
      <c r="J27" s="13"/>
      <c r="L27" s="13"/>
    </row>
    <row r="28" spans="1:12" ht="15">
      <c r="A28" s="6"/>
      <c r="C28" s="1" t="s">
        <v>79</v>
      </c>
      <c r="E28" s="13">
        <f>31822425/1000</f>
        <v>31822.425</v>
      </c>
      <c r="F28" s="13"/>
      <c r="G28" s="13">
        <f>66474064/1000</f>
        <v>66474.064</v>
      </c>
      <c r="J28" s="13"/>
      <c r="L28" s="13"/>
    </row>
    <row r="29" spans="1:10" ht="15">
      <c r="A29" s="6"/>
      <c r="C29" s="1" t="s">
        <v>33</v>
      </c>
      <c r="E29" s="18">
        <f>SUM(E26:E28)</f>
        <v>1462611.355</v>
      </c>
      <c r="F29" s="13"/>
      <c r="G29" s="18">
        <f>SUM(G26:G28)</f>
        <v>1657962.256</v>
      </c>
      <c r="J29" s="13"/>
    </row>
    <row r="30" spans="1:10" ht="15">
      <c r="A30" s="6"/>
      <c r="E30" s="13"/>
      <c r="F30" s="13"/>
      <c r="G30" s="13" t="s">
        <v>33</v>
      </c>
      <c r="J30" s="13"/>
    </row>
    <row r="31" spans="1:10" ht="15">
      <c r="A31" s="6"/>
      <c r="C31" s="1" t="s">
        <v>90</v>
      </c>
      <c r="E31" s="17">
        <f>+E23-E29</f>
        <v>-536818.023</v>
      </c>
      <c r="F31" s="13"/>
      <c r="G31" s="17">
        <f>+G23-G29</f>
        <v>-117297.87199999997</v>
      </c>
      <c r="J31" s="13"/>
    </row>
    <row r="32" spans="1:10" ht="15.75" thickBot="1">
      <c r="A32" s="6"/>
      <c r="E32" s="15"/>
      <c r="F32" s="13"/>
      <c r="G32" s="15"/>
      <c r="J32" s="13"/>
    </row>
    <row r="33" spans="1:10" ht="15.75" thickBot="1">
      <c r="A33" s="6"/>
      <c r="E33" s="15">
        <f>+E31+E15</f>
        <v>2064133.977</v>
      </c>
      <c r="F33" s="13"/>
      <c r="G33" s="15">
        <f>+G31+G15</f>
        <v>3770161.128</v>
      </c>
      <c r="J33" s="13"/>
    </row>
    <row r="34" spans="1:10" ht="15">
      <c r="A34" s="6"/>
      <c r="E34" s="13"/>
      <c r="F34" s="13"/>
      <c r="G34" s="13"/>
      <c r="J34" s="13"/>
    </row>
    <row r="35" spans="1:10" ht="15">
      <c r="A35" s="6"/>
      <c r="E35" s="13"/>
      <c r="F35" s="13"/>
      <c r="G35" s="13"/>
      <c r="J35" s="13"/>
    </row>
    <row r="36" spans="1:10" ht="15">
      <c r="A36" s="6"/>
      <c r="C36" s="1" t="s">
        <v>57</v>
      </c>
      <c r="E36" s="13">
        <v>969781</v>
      </c>
      <c r="F36" s="13"/>
      <c r="G36" s="13">
        <v>963129</v>
      </c>
      <c r="J36" s="13"/>
    </row>
    <row r="37" spans="1:10" ht="15">
      <c r="A37" s="6"/>
      <c r="C37" s="1" t="s">
        <v>58</v>
      </c>
      <c r="E37" s="13"/>
      <c r="F37" s="13"/>
      <c r="G37" s="13"/>
      <c r="J37" s="13"/>
    </row>
    <row r="38" spans="1:10" ht="15">
      <c r="A38" s="6"/>
      <c r="C38" s="1" t="s">
        <v>59</v>
      </c>
      <c r="E38" s="13">
        <v>1006725</v>
      </c>
      <c r="F38" s="13"/>
      <c r="G38" s="13">
        <v>1006165</v>
      </c>
      <c r="J38" s="13"/>
    </row>
    <row r="39" spans="1:10" ht="15">
      <c r="A39" s="6"/>
      <c r="C39" s="1" t="s">
        <v>60</v>
      </c>
      <c r="E39" s="13">
        <v>52519</v>
      </c>
      <c r="F39" s="13"/>
      <c r="G39" s="13">
        <v>37714</v>
      </c>
      <c r="J39" s="13"/>
    </row>
    <row r="40" spans="1:10" ht="15">
      <c r="A40" s="6"/>
      <c r="C40" s="1" t="s">
        <v>80</v>
      </c>
      <c r="E40" s="16">
        <v>-947561</v>
      </c>
      <c r="F40" s="13"/>
      <c r="G40" s="16">
        <v>498897</v>
      </c>
      <c r="J40" s="13"/>
    </row>
    <row r="41" spans="1:10" ht="15">
      <c r="A41" s="6"/>
      <c r="C41" s="1" t="s">
        <v>56</v>
      </c>
      <c r="E41" s="13">
        <f>SUM(E36:E40)</f>
        <v>1081464</v>
      </c>
      <c r="F41" s="13"/>
      <c r="G41" s="13">
        <f>SUM(G36:G40)</f>
        <v>2505905</v>
      </c>
      <c r="J41" s="13"/>
    </row>
    <row r="42" spans="1:10" ht="15">
      <c r="A42" s="6"/>
      <c r="C42" s="1" t="s">
        <v>61</v>
      </c>
      <c r="E42" s="13">
        <f>193778799/1000</f>
        <v>193778.799</v>
      </c>
      <c r="F42" s="13"/>
      <c r="G42" s="13">
        <v>208702</v>
      </c>
      <c r="J42" s="13"/>
    </row>
    <row r="43" spans="1:10" ht="15">
      <c r="A43" s="6"/>
      <c r="C43" s="1" t="s">
        <v>62</v>
      </c>
      <c r="E43" s="13">
        <v>472431</v>
      </c>
      <c r="F43" s="13"/>
      <c r="G43" s="13">
        <v>659348</v>
      </c>
      <c r="J43" s="13"/>
    </row>
    <row r="44" spans="1:10" ht="15">
      <c r="A44" s="6"/>
      <c r="C44" s="1" t="s">
        <v>81</v>
      </c>
      <c r="E44" s="13">
        <f>-12112540/1000</f>
        <v>-12112.54</v>
      </c>
      <c r="F44" s="13"/>
      <c r="G44" s="13">
        <v>-10574</v>
      </c>
      <c r="J44" s="13"/>
    </row>
    <row r="45" spans="1:10" ht="15">
      <c r="A45" s="6"/>
      <c r="C45" s="1" t="s">
        <v>63</v>
      </c>
      <c r="E45" s="16">
        <f>(800040282+963930)/1000-E43</f>
        <v>328573.21200000006</v>
      </c>
      <c r="F45" s="13"/>
      <c r="G45" s="16">
        <f>334038+68691+3157+894</f>
        <v>406780</v>
      </c>
      <c r="J45" s="13"/>
    </row>
    <row r="46" spans="1:10" ht="15.75" thickBot="1">
      <c r="A46" s="6"/>
      <c r="E46" s="19">
        <f>SUM(E41:E45)</f>
        <v>2064134.4710000001</v>
      </c>
      <c r="F46" s="13"/>
      <c r="G46" s="19">
        <f>SUM(G41:G45)</f>
        <v>3770161</v>
      </c>
      <c r="J46" s="13"/>
    </row>
    <row r="47" spans="1:10" ht="15">
      <c r="A47" s="6"/>
      <c r="E47" s="13"/>
      <c r="F47" s="13"/>
      <c r="G47" s="17"/>
      <c r="J47" s="13"/>
    </row>
    <row r="48" spans="1:10" ht="15">
      <c r="A48" s="6"/>
      <c r="C48" s="1" t="s">
        <v>64</v>
      </c>
      <c r="E48" s="13">
        <f>(E41-E14-591499-777755)/969781*100</f>
        <v>-33.282359625523696</v>
      </c>
      <c r="F48" s="13"/>
      <c r="G48" s="13">
        <v>-6</v>
      </c>
      <c r="J48" s="13"/>
    </row>
    <row r="49" spans="1:10" ht="15">
      <c r="A49" s="6"/>
      <c r="E49" s="13"/>
      <c r="F49" s="13"/>
      <c r="G49" s="13"/>
      <c r="J49" s="13"/>
    </row>
    <row r="50" spans="1:10" ht="15">
      <c r="A50" s="6"/>
      <c r="E50" s="13"/>
      <c r="F50" s="13"/>
      <c r="G50" s="13"/>
      <c r="J50" s="13"/>
    </row>
    <row r="51" spans="1:10" ht="15">
      <c r="A51" s="6"/>
      <c r="E51" s="13"/>
      <c r="F51" s="13"/>
      <c r="G51" s="13"/>
      <c r="J51" s="13"/>
    </row>
    <row r="52" spans="1:7" ht="15">
      <c r="A52" s="6"/>
      <c r="E52" s="13"/>
      <c r="F52" s="13"/>
      <c r="G52" s="13"/>
    </row>
    <row r="53" spans="1:7" ht="15">
      <c r="A53" s="6"/>
      <c r="E53" s="13"/>
      <c r="F53" s="13"/>
      <c r="G53" s="13"/>
    </row>
    <row r="54" spans="1:7" ht="15">
      <c r="A54" s="6"/>
      <c r="E54" s="13"/>
      <c r="F54" s="13"/>
      <c r="G54" s="13"/>
    </row>
    <row r="55" spans="1:7" ht="15">
      <c r="A55" s="6"/>
      <c r="E55" s="13"/>
      <c r="F55" s="13"/>
      <c r="G55" s="13"/>
    </row>
    <row r="56" spans="1:7" ht="15">
      <c r="A56" s="6"/>
      <c r="E56" s="13"/>
      <c r="F56" s="13"/>
      <c r="G56" s="13"/>
    </row>
    <row r="57" spans="1:7" ht="15">
      <c r="A57" s="6"/>
      <c r="E57" s="13"/>
      <c r="F57" s="13"/>
      <c r="G57" s="13"/>
    </row>
    <row r="58" spans="1:7" ht="15">
      <c r="A58" s="6"/>
      <c r="E58" s="13"/>
      <c r="F58" s="13"/>
      <c r="G58" s="13"/>
    </row>
    <row r="59" spans="1:7" ht="15">
      <c r="A59" s="6"/>
      <c r="E59" s="13"/>
      <c r="F59" s="13"/>
      <c r="G59" s="13"/>
    </row>
    <row r="60" spans="1:7" ht="15">
      <c r="A60" s="6"/>
      <c r="E60" s="13"/>
      <c r="F60" s="13"/>
      <c r="G60" s="13"/>
    </row>
    <row r="61" spans="1:7" ht="15">
      <c r="A61" s="6"/>
      <c r="E61" s="13"/>
      <c r="F61" s="13"/>
      <c r="G61" s="13"/>
    </row>
    <row r="62" spans="1:7" ht="15">
      <c r="A62" s="6"/>
      <c r="E62" s="13"/>
      <c r="F62" s="13"/>
      <c r="G62" s="13"/>
    </row>
    <row r="63" spans="1:7" ht="15">
      <c r="A63" s="6"/>
      <c r="E63" s="13"/>
      <c r="F63" s="13"/>
      <c r="G63" s="13"/>
    </row>
    <row r="64" spans="1:7" ht="15">
      <c r="A64" s="6"/>
      <c r="E64" s="13"/>
      <c r="F64" s="13"/>
      <c r="G64" s="13"/>
    </row>
    <row r="65" spans="1:7" ht="15">
      <c r="A65" s="6"/>
      <c r="E65" s="13"/>
      <c r="F65" s="13"/>
      <c r="G65" s="13"/>
    </row>
    <row r="66" spans="1:7" ht="15">
      <c r="A66" s="6"/>
      <c r="E66" s="13"/>
      <c r="F66" s="13"/>
      <c r="G66" s="13"/>
    </row>
    <row r="67" spans="1:7" ht="15">
      <c r="A67" s="6"/>
      <c r="E67" s="13"/>
      <c r="F67" s="13"/>
      <c r="G67" s="13"/>
    </row>
    <row r="68" spans="1:7" ht="15">
      <c r="A68" s="6"/>
      <c r="E68" s="13"/>
      <c r="F68" s="13"/>
      <c r="G68" s="13"/>
    </row>
    <row r="69" spans="1:7" ht="15">
      <c r="A69" s="6"/>
      <c r="E69" s="13"/>
      <c r="F69" s="13"/>
      <c r="G69" s="13"/>
    </row>
    <row r="70" spans="1:7" ht="15">
      <c r="A70" s="6"/>
      <c r="E70" s="13"/>
      <c r="F70" s="13"/>
      <c r="G70" s="13"/>
    </row>
    <row r="71" spans="1:7" ht="15">
      <c r="A71" s="6"/>
      <c r="E71" s="13"/>
      <c r="F71" s="13"/>
      <c r="G71" s="13"/>
    </row>
    <row r="72" spans="1:7" ht="15">
      <c r="A72" s="6"/>
      <c r="E72" s="13"/>
      <c r="F72" s="13"/>
      <c r="G72" s="13"/>
    </row>
    <row r="73" spans="1:7" ht="15">
      <c r="A73" s="6"/>
      <c r="E73" s="13"/>
      <c r="F73" s="13"/>
      <c r="G73" s="13"/>
    </row>
    <row r="74" spans="1:7" ht="15">
      <c r="A74" s="6"/>
      <c r="E74" s="13"/>
      <c r="F74" s="13"/>
      <c r="G74" s="13"/>
    </row>
    <row r="75" spans="1:7" ht="15">
      <c r="A75" s="6"/>
      <c r="E75" s="13"/>
      <c r="F75" s="13"/>
      <c r="G75" s="13"/>
    </row>
    <row r="76" spans="1:7" ht="15">
      <c r="A76" s="6"/>
      <c r="E76" s="13"/>
      <c r="F76" s="13"/>
      <c r="G76" s="13"/>
    </row>
    <row r="77" spans="1:7" ht="15">
      <c r="A77" s="6"/>
      <c r="E77" s="13"/>
      <c r="F77" s="13"/>
      <c r="G77" s="13"/>
    </row>
    <row r="78" spans="1:7" ht="15">
      <c r="A78" s="6"/>
      <c r="E78" s="13"/>
      <c r="F78" s="13"/>
      <c r="G78" s="13"/>
    </row>
    <row r="79" spans="1:7" ht="15">
      <c r="A79" s="6"/>
      <c r="E79" s="13"/>
      <c r="F79" s="13"/>
      <c r="G79" s="13"/>
    </row>
    <row r="80" spans="1:7" ht="15">
      <c r="A80" s="6"/>
      <c r="E80" s="13"/>
      <c r="F80" s="13"/>
      <c r="G80" s="13"/>
    </row>
    <row r="81" spans="1:7" ht="15">
      <c r="A81" s="6"/>
      <c r="E81" s="13"/>
      <c r="F81" s="13"/>
      <c r="G81" s="13"/>
    </row>
    <row r="82" spans="1:7" ht="15">
      <c r="A82" s="6"/>
      <c r="E82" s="13"/>
      <c r="F82" s="13"/>
      <c r="G82" s="13"/>
    </row>
    <row r="83" spans="1:7" ht="15">
      <c r="A83" s="6"/>
      <c r="E83" s="13"/>
      <c r="F83" s="13"/>
      <c r="G83" s="13"/>
    </row>
    <row r="84" spans="1:7" ht="15">
      <c r="A84" s="6"/>
      <c r="E84" s="13"/>
      <c r="F84" s="13"/>
      <c r="G84" s="13"/>
    </row>
    <row r="85" spans="1:7" ht="15">
      <c r="A85" s="6"/>
      <c r="E85" s="13"/>
      <c r="F85" s="13"/>
      <c r="G85" s="13"/>
    </row>
    <row r="86" spans="1:7" ht="15">
      <c r="A86" s="6"/>
      <c r="E86" s="13"/>
      <c r="F86" s="13"/>
      <c r="G86" s="13"/>
    </row>
    <row r="87" spans="1:7" ht="15">
      <c r="A87" s="6"/>
      <c r="E87" s="13"/>
      <c r="F87" s="13"/>
      <c r="G87" s="13"/>
    </row>
    <row r="88" spans="1:7" ht="15">
      <c r="A88" s="6"/>
      <c r="E88" s="13"/>
      <c r="F88" s="13"/>
      <c r="G88" s="13"/>
    </row>
    <row r="89" spans="1:7" ht="15">
      <c r="A89" s="6"/>
      <c r="E89" s="13"/>
      <c r="F89" s="13"/>
      <c r="G89" s="13"/>
    </row>
    <row r="90" spans="1:7" ht="15">
      <c r="A90" s="6"/>
      <c r="E90" s="13"/>
      <c r="F90" s="13"/>
      <c r="G90" s="13"/>
    </row>
    <row r="91" spans="1:7" ht="15">
      <c r="A91" s="6"/>
      <c r="E91" s="13"/>
      <c r="F91" s="13"/>
      <c r="G91" s="13"/>
    </row>
    <row r="92" spans="1:7" ht="15">
      <c r="A92" s="6"/>
      <c r="E92" s="13"/>
      <c r="F92" s="13"/>
      <c r="G92" s="13"/>
    </row>
    <row r="93" spans="1:7" ht="15">
      <c r="A93" s="6"/>
      <c r="E93" s="13"/>
      <c r="F93" s="13"/>
      <c r="G93" s="13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  <row r="141" ht="15">
      <c r="A141" s="6"/>
    </row>
    <row r="142" ht="15">
      <c r="A142" s="6"/>
    </row>
    <row r="143" ht="15">
      <c r="A143" s="6"/>
    </row>
    <row r="144" ht="15">
      <c r="A144" s="6"/>
    </row>
    <row r="145" ht="15">
      <c r="A145" s="6"/>
    </row>
    <row r="146" ht="15">
      <c r="A146" s="6"/>
    </row>
    <row r="147" ht="15">
      <c r="A147" s="6"/>
    </row>
    <row r="148" ht="15">
      <c r="A148" s="6"/>
    </row>
    <row r="149" ht="15">
      <c r="A149" s="6"/>
    </row>
    <row r="150" ht="15">
      <c r="A150" s="6"/>
    </row>
    <row r="151" ht="15">
      <c r="A151" s="6"/>
    </row>
    <row r="152" ht="15">
      <c r="A152" s="6"/>
    </row>
  </sheetData>
  <printOptions/>
  <pageMargins left="0.5" right="0.5" top="0.5" bottom="0.5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mavis</dc:creator>
  <cp:keywords/>
  <dc:description/>
  <cp:lastModifiedBy>mavis</cp:lastModifiedBy>
  <cp:lastPrinted>1999-10-29T08:00:48Z</cp:lastPrinted>
  <dcterms:created xsi:type="dcterms:W3CDTF">1999-10-06T09:07:02Z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